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520"/>
  </bookViews>
  <sheets>
    <sheet name="2023" sheetId="2" r:id="rId1"/>
  </sheets>
  <calcPr calcId="145621"/>
</workbook>
</file>

<file path=xl/calcChain.xml><?xml version="1.0" encoding="utf-8"?>
<calcChain xmlns="http://schemas.openxmlformats.org/spreadsheetml/2006/main">
  <c r="I140" i="2" l="1"/>
  <c r="G138" i="2" l="1"/>
  <c r="I136" i="2"/>
  <c r="I135" i="2"/>
  <c r="I134" i="2"/>
  <c r="I138" i="2" s="1"/>
  <c r="H138" i="2" s="1"/>
  <c r="G133" i="2"/>
  <c r="I132" i="2"/>
  <c r="H132" i="2" s="1"/>
  <c r="G132" i="2"/>
  <c r="I130" i="2"/>
  <c r="H130" i="2" s="1"/>
  <c r="G130" i="2"/>
  <c r="G128" i="2"/>
  <c r="I127" i="2"/>
  <c r="I126" i="2"/>
  <c r="I128" i="2" s="1"/>
  <c r="H128" i="2" s="1"/>
  <c r="G124" i="2"/>
  <c r="I123" i="2"/>
  <c r="I124" i="2" s="1"/>
  <c r="H124" i="2" s="1"/>
  <c r="G121" i="2"/>
  <c r="I120" i="2"/>
  <c r="I121" i="2" s="1"/>
  <c r="G118" i="2" l="1"/>
  <c r="I118" i="2"/>
  <c r="H121" i="2"/>
  <c r="I133" i="2"/>
  <c r="H133" i="2" s="1"/>
  <c r="H118" i="2" l="1"/>
  <c r="H60" i="2"/>
  <c r="I60" i="2"/>
  <c r="H57" i="2"/>
  <c r="H51" i="2"/>
  <c r="H66" i="2"/>
  <c r="H61" i="2"/>
  <c r="H58" i="2"/>
  <c r="H52" i="2"/>
  <c r="I49" i="2" l="1"/>
  <c r="G50" i="2"/>
  <c r="I37" i="2"/>
  <c r="G38" i="2"/>
  <c r="I31" i="2"/>
  <c r="G32" i="2"/>
  <c r="I24" i="2"/>
  <c r="G25" i="2"/>
  <c r="I16" i="2"/>
  <c r="G17" i="2"/>
  <c r="I35" i="2"/>
  <c r="H29" i="2"/>
  <c r="H27" i="2"/>
  <c r="H26" i="2"/>
  <c r="H23" i="2"/>
  <c r="H22" i="2"/>
  <c r="H21" i="2"/>
  <c r="H20" i="2"/>
  <c r="H19" i="2"/>
  <c r="H18" i="2"/>
  <c r="H15" i="2"/>
  <c r="H8" i="2"/>
  <c r="H9" i="2"/>
  <c r="H10" i="2"/>
  <c r="H11" i="2"/>
  <c r="H12" i="2"/>
  <c r="H13" i="2"/>
  <c r="G67" i="2" l="1"/>
  <c r="H114" i="2" l="1"/>
  <c r="G112" i="2"/>
  <c r="I111" i="2"/>
  <c r="I110" i="2"/>
  <c r="I109" i="2"/>
  <c r="I108" i="2"/>
  <c r="G107" i="2"/>
  <c r="G106" i="2"/>
  <c r="I105" i="2"/>
  <c r="I106" i="2" s="1"/>
  <c r="G104" i="2"/>
  <c r="I103" i="2"/>
  <c r="I104" i="2" s="1"/>
  <c r="G102" i="2"/>
  <c r="I101" i="2"/>
  <c r="I100" i="2"/>
  <c r="I99" i="2"/>
  <c r="G98" i="2"/>
  <c r="I97" i="2"/>
  <c r="I96" i="2"/>
  <c r="G95" i="2"/>
  <c r="I94" i="2"/>
  <c r="I93" i="2"/>
  <c r="G92" i="2" l="1"/>
  <c r="H106" i="2"/>
  <c r="I98" i="2"/>
  <c r="H98" i="2" s="1"/>
  <c r="I95" i="2"/>
  <c r="H104" i="2"/>
  <c r="I107" i="2"/>
  <c r="H107" i="2" s="1"/>
  <c r="I102" i="2"/>
  <c r="H102" i="2" s="1"/>
  <c r="H95" i="2"/>
  <c r="I112" i="2"/>
  <c r="H112" i="2" s="1"/>
  <c r="J64" i="2"/>
  <c r="J63" i="2"/>
  <c r="J61" i="2"/>
  <c r="J60" i="2"/>
  <c r="J58" i="2"/>
  <c r="J57" i="2"/>
  <c r="J55" i="2"/>
  <c r="J54" i="2"/>
  <c r="J52" i="2"/>
  <c r="J51" i="2"/>
  <c r="K32" i="2"/>
  <c r="J30" i="2"/>
  <c r="J29" i="2"/>
  <c r="I92" i="2" l="1"/>
  <c r="H92" i="2" s="1"/>
  <c r="J22" i="2"/>
  <c r="J15" i="2"/>
  <c r="J14" i="2"/>
  <c r="J13" i="2"/>
  <c r="J12" i="2"/>
  <c r="J11" i="2"/>
  <c r="J10" i="2"/>
  <c r="J9" i="2"/>
  <c r="J8" i="2"/>
  <c r="I41" i="2"/>
  <c r="I15" i="2"/>
  <c r="I34" i="2" l="1"/>
  <c r="H90" i="2"/>
  <c r="G65" i="2"/>
  <c r="G62" i="2"/>
  <c r="G59" i="2"/>
  <c r="G56" i="2"/>
  <c r="G53" i="2"/>
  <c r="G44" i="2"/>
  <c r="G90" i="2" s="1"/>
  <c r="I21" i="2"/>
  <c r="G89" i="2" l="1"/>
  <c r="I88" i="2"/>
  <c r="I87" i="2"/>
  <c r="I86" i="2"/>
  <c r="I85" i="2"/>
  <c r="G84" i="2"/>
  <c r="G83" i="2"/>
  <c r="I82" i="2"/>
  <c r="I83" i="2" s="1"/>
  <c r="G81" i="2"/>
  <c r="I80" i="2"/>
  <c r="I81" i="2" s="1"/>
  <c r="H81" i="2" s="1"/>
  <c r="G79" i="2"/>
  <c r="I78" i="2"/>
  <c r="I77" i="2"/>
  <c r="G76" i="2"/>
  <c r="I75" i="2"/>
  <c r="I74" i="2"/>
  <c r="I76" i="2" s="1"/>
  <c r="H76" i="2" s="1"/>
  <c r="G73" i="2"/>
  <c r="I72" i="2"/>
  <c r="I71" i="2"/>
  <c r="H83" i="2" l="1"/>
  <c r="G70" i="2"/>
  <c r="I89" i="2"/>
  <c r="H89" i="2" s="1"/>
  <c r="I73" i="2"/>
  <c r="H73" i="2" s="1"/>
  <c r="I79" i="2"/>
  <c r="H79" i="2" s="1"/>
  <c r="I84" i="2"/>
  <c r="H84" i="2" s="1"/>
  <c r="I70" i="2" l="1"/>
  <c r="H70" i="2" s="1"/>
  <c r="I66" i="2"/>
  <c r="I67" i="2" s="1"/>
  <c r="I68" i="2"/>
  <c r="I69" i="2" s="1"/>
  <c r="I64" i="2"/>
  <c r="I63" i="2"/>
  <c r="I61" i="2"/>
  <c r="I58" i="2"/>
  <c r="I57" i="2"/>
  <c r="I55" i="2"/>
  <c r="I54" i="2"/>
  <c r="I52" i="2"/>
  <c r="I51" i="2"/>
  <c r="I46" i="2"/>
  <c r="I47" i="2"/>
  <c r="I48" i="2"/>
  <c r="I45" i="2"/>
  <c r="I40" i="2"/>
  <c r="I42" i="2"/>
  <c r="I43" i="2"/>
  <c r="I39" i="2"/>
  <c r="I36" i="2"/>
  <c r="I38" i="2" s="1"/>
  <c r="I33" i="2"/>
  <c r="I27" i="2"/>
  <c r="I29" i="2"/>
  <c r="I30" i="2"/>
  <c r="I26" i="2"/>
  <c r="I19" i="2"/>
  <c r="I20" i="2"/>
  <c r="I22" i="2"/>
  <c r="I23" i="2"/>
  <c r="I18" i="2"/>
  <c r="I11" i="2"/>
  <c r="I12" i="2"/>
  <c r="I13" i="2"/>
  <c r="I14" i="2"/>
  <c r="I9" i="2"/>
  <c r="I10" i="2"/>
  <c r="I8" i="2"/>
  <c r="I50" i="2" l="1"/>
  <c r="I32" i="2"/>
  <c r="I25" i="2"/>
  <c r="I17" i="2"/>
  <c r="I65" i="2"/>
  <c r="I62" i="2"/>
  <c r="I56" i="2"/>
  <c r="I53" i="2"/>
  <c r="I44" i="2"/>
  <c r="I59" i="2"/>
  <c r="I90" i="2" l="1"/>
</calcChain>
</file>

<file path=xl/sharedStrings.xml><?xml version="1.0" encoding="utf-8"?>
<sst xmlns="http://schemas.openxmlformats.org/spreadsheetml/2006/main" count="274" uniqueCount="63">
  <si>
    <t>Наименование учреждения</t>
  </si>
  <si>
    <t>Наименование муниципальной услуги</t>
  </si>
  <si>
    <t>Натуральные показатели</t>
  </si>
  <si>
    <t>Ед. изм. натуральных показателей</t>
  </si>
  <si>
    <t>МБУК«МЦКС»</t>
  </si>
  <si>
    <t xml:space="preserve">Организация деятельности клубных формирований и формирований самодеятельного творчества
</t>
  </si>
  <si>
    <t>ед.</t>
  </si>
  <si>
    <t>Организация и проведение культурно-массовых мероприятий</t>
  </si>
  <si>
    <t>чел.</t>
  </si>
  <si>
    <t>Итого:</t>
  </si>
  <si>
    <t>МБУК «НКМ»</t>
  </si>
  <si>
    <t xml:space="preserve">Публичный показ музейных предметов, музейных колекций
</t>
  </si>
  <si>
    <t xml:space="preserve">Формирование учет, изучение, обеспечение физического сохранения и безопасности музейных предметов, музейных коллекций </t>
  </si>
  <si>
    <t>МБУК «МЦБС»</t>
  </si>
  <si>
    <t xml:space="preserve">Библиотечное, библиографическое и информационное обслуживание пользователей библиотеки
</t>
  </si>
  <si>
    <t xml:space="preserve">Формирование, учет, изучение, обеспечение физического сохранения и безопасности фондов библиотек, включая оцифровку фондов 
</t>
  </si>
  <si>
    <t xml:space="preserve">Библиографическая обработка документов и создание каталогов </t>
  </si>
  <si>
    <t>МБУ ДО "ДМШ"</t>
  </si>
  <si>
    <t xml:space="preserve">Реализация дополнительных общеобразовательных предпрофесиональных программ в области исскуств </t>
  </si>
  <si>
    <t>МБУ ДО "ДХШ"</t>
  </si>
  <si>
    <t>Культура</t>
  </si>
  <si>
    <t>Спорт</t>
  </si>
  <si>
    <t>Организация и проведение Официальных Физкультурных (физкультурно-оздоровительных) мероприятий</t>
  </si>
  <si>
    <t>количество мероприятий</t>
  </si>
  <si>
    <t>Организация и проведение официальных спортивных мероприятий</t>
  </si>
  <si>
    <t xml:space="preserve">Проведение тестирования выполнения нормативов испытаний (тестов) комплекса  ГТО   </t>
  </si>
  <si>
    <t>Организация и проведение Физкультурных и спортивных мероприятий в рамках         Всероссийского физкультурно-спортивного комплекса «Готов к труду и обороне» (ГТО) (за исключением тестирования выполнения нормативов испытаний комплекса ГТО)</t>
  </si>
  <si>
    <t>МБУ ФСК «Кристалл».</t>
  </si>
  <si>
    <t>Нормативные затраты, руб.</t>
  </si>
  <si>
    <t>Сумма субсидии, руб.</t>
  </si>
  <si>
    <t>МАОУ "Тонкинская ОШ"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</si>
  <si>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</si>
  <si>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</si>
  <si>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</si>
  <si>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Итого</t>
  </si>
  <si>
    <t>МБОУ "Пакалевская ОШ"</t>
  </si>
  <si>
    <t>Реализация основных общеобразовательных программ дошкольного образования</t>
  </si>
  <si>
    <t>Присмотр и уход</t>
  </si>
  <si>
    <t>МБОУ "Вязовская ОШ"</t>
  </si>
  <si>
    <t>МБОУ "Бердниковская ОШ"</t>
  </si>
  <si>
    <t>МБОУ "Пахутинская ОШ"</t>
  </si>
  <si>
    <t>МБОУ "Большесодомовская ОШ"</t>
  </si>
  <si>
    <t>МБДОУ д/с №1 "Теремок"</t>
  </si>
  <si>
    <t>МБДОУ д/с №2 "Малышок"</t>
  </si>
  <si>
    <t>МБДОУ д/с №4 "Солнышко"</t>
  </si>
  <si>
    <t>МБДОУ д/с №5 "Сказка"</t>
  </si>
  <si>
    <t>МБДОУ д/с №8 "Елочка"</t>
  </si>
  <si>
    <t>МБУ ДО ЦДО</t>
  </si>
  <si>
    <t>реализация дополнительных общеразвивающих программ</t>
  </si>
  <si>
    <t>чел.-час</t>
  </si>
  <si>
    <t>МБУ ХЭС СО</t>
  </si>
  <si>
    <t xml:space="preserve">Содержание (эксплуатация) имущества, находящегося в государственной (муниципальной ) собственности </t>
  </si>
  <si>
    <t>Обучающиеся, за исключением обучающихся с ограниченными возможностями здоровья (ОВЗ) и детей -инвалидов</t>
  </si>
  <si>
    <t>дети-инвалиды</t>
  </si>
  <si>
    <t>Обучающиеся с ограниченными возможностями здоровья (ОВЗ)</t>
  </si>
  <si>
    <t>Всего образование</t>
  </si>
  <si>
    <t>ХЭС р.п. Тонкино</t>
  </si>
  <si>
    <t>чел.час</t>
  </si>
  <si>
    <t xml:space="preserve"> кв. м.</t>
  </si>
  <si>
    <t>Содержание(эксплуатация) имущества, находящегося в государственной(муниципальной) собственности</t>
  </si>
  <si>
    <t>Организация отдыха детей и молодежи</t>
  </si>
  <si>
    <t>физ. лица</t>
  </si>
  <si>
    <t xml:space="preserve">Расчет субсидий на выполнение муниципального задания Тонкинского муниципального района на 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</si>
</sst>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49" fontId="3" fillId="0" borderId="4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49" fontId="4" fillId="0" borderId="4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/>
    <xf numFmtId="4" fontId="1" fillId="0" borderId="2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Border="1"/>
    <xf numFmtId="3" fontId="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4" fontId="1" fillId="0" borderId="1" xfId="0" applyNumberFormat="1" applyFont="1" applyBorder="1"/>
    <xf numFmtId="164" fontId="1" fillId="0" borderId="1" xfId="0" applyNumberFormat="1" applyFont="1" applyBorder="1"/>
    <xf numFmtId="3" fontId="0" fillId="2" borderId="1" xfId="0" applyNumberForma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4" fontId="0" fillId="0" borderId="1" xfId="0" applyNumberForma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horizontal="righ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right" vertical="top"/>
    </xf>
    <xf numFmtId="49" fontId="4" fillId="2" borderId="4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3" xfId="0" applyFont="1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0" fillId="2" borderId="1" xfId="0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3" xfId="0" applyFont="1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1" xfId="0" applyFont="1" applyBorder="1" applyAlignment="1">
      <alignment horizontal="justify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4" xfId="0" applyFont="1" applyFill="1" applyBorder="1" applyAlignment="1">
      <alignment vertical="top"/>
    </xf>
    <xf numFmtId="0" fontId="1" fillId="0" borderId="5" xfId="0" applyFont="1" applyBorder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K140"/>
  <sheetViews>
    <sheetView tabSelected="1" workbookViewId="0">
      <selection activeCell="H8" sqref="H8"/>
    </sheetView>
  </sheetViews>
  <sheetFormatPr defaultRowHeight="15" x14ac:dyDescent="0.25"/>
  <cols>
    <col min="3" max="3" width="23.28515625" customWidth="1"/>
    <col min="4" max="4" width="20.5703125" customWidth="1"/>
    <col min="5" max="5" width="24.7109375" customWidth="1"/>
    <col min="6" max="6" width="12.7109375" customWidth="1"/>
    <col min="7" max="7" width="13.85546875" customWidth="1"/>
    <col min="8" max="8" width="14.7109375" customWidth="1"/>
    <col min="9" max="9" width="16.7109375" bestFit="1" customWidth="1"/>
    <col min="10" max="10" width="15.5703125" hidden="1" customWidth="1"/>
    <col min="11" max="13" width="0" hidden="1" customWidth="1"/>
  </cols>
  <sheetData>
    <row r="2" spans="3:10" ht="45" customHeight="1" x14ac:dyDescent="0.25">
      <c r="C2" s="94" t="s">
        <v>62</v>
      </c>
      <c r="D2" s="94"/>
      <c r="E2" s="94"/>
      <c r="F2" s="94"/>
      <c r="G2" s="94"/>
      <c r="H2" s="94"/>
      <c r="I2" s="94"/>
    </row>
    <row r="6" spans="3:10" ht="76.5" customHeight="1" x14ac:dyDescent="0.25">
      <c r="C6" s="99" t="s">
        <v>0</v>
      </c>
      <c r="D6" s="95" t="s">
        <v>1</v>
      </c>
      <c r="E6" s="96"/>
      <c r="F6" s="99" t="s">
        <v>3</v>
      </c>
      <c r="G6" s="99" t="s">
        <v>2</v>
      </c>
      <c r="H6" s="99" t="s">
        <v>28</v>
      </c>
      <c r="I6" s="99" t="s">
        <v>29</v>
      </c>
    </row>
    <row r="7" spans="3:10" x14ac:dyDescent="0.25">
      <c r="C7" s="100"/>
      <c r="D7" s="97"/>
      <c r="E7" s="98"/>
      <c r="F7" s="100"/>
      <c r="G7" s="100"/>
      <c r="H7" s="100"/>
      <c r="I7" s="100"/>
    </row>
    <row r="8" spans="3:10" ht="69" customHeight="1" x14ac:dyDescent="0.25">
      <c r="C8" s="83" t="s">
        <v>30</v>
      </c>
      <c r="D8" s="88" t="s">
        <v>31</v>
      </c>
      <c r="E8" s="24" t="s">
        <v>52</v>
      </c>
      <c r="F8" s="31" t="s">
        <v>8</v>
      </c>
      <c r="G8" s="28">
        <v>231</v>
      </c>
      <c r="H8" s="38">
        <f>75.996*1000</f>
        <v>75996</v>
      </c>
      <c r="I8" s="54">
        <f>G8*H8</f>
        <v>17555076</v>
      </c>
      <c r="J8">
        <f>G8+G18+G26+G33+G39+G45</f>
        <v>264</v>
      </c>
    </row>
    <row r="9" spans="3:10" ht="20.45" customHeight="1" x14ac:dyDescent="0.25">
      <c r="C9" s="102"/>
      <c r="D9" s="91"/>
      <c r="E9" s="9" t="s">
        <v>53</v>
      </c>
      <c r="F9" s="31" t="s">
        <v>8</v>
      </c>
      <c r="G9" s="28">
        <v>6</v>
      </c>
      <c r="H9" s="38">
        <f>37.8*1000</f>
        <v>37800</v>
      </c>
      <c r="I9" s="54">
        <f t="shared" ref="I9:I31" si="0">G9*H9</f>
        <v>226800</v>
      </c>
      <c r="J9">
        <f>G9+G19+G34</f>
        <v>9</v>
      </c>
    </row>
    <row r="10" spans="3:10" ht="55.15" customHeight="1" x14ac:dyDescent="0.25">
      <c r="C10" s="102"/>
      <c r="D10" s="90"/>
      <c r="E10" s="24" t="s">
        <v>54</v>
      </c>
      <c r="F10" s="31" t="s">
        <v>8</v>
      </c>
      <c r="G10" s="28">
        <v>1</v>
      </c>
      <c r="H10" s="38">
        <f>190.5*1000</f>
        <v>190500</v>
      </c>
      <c r="I10" s="54">
        <f t="shared" si="0"/>
        <v>190500</v>
      </c>
      <c r="J10">
        <f>G10</f>
        <v>1</v>
      </c>
    </row>
    <row r="11" spans="3:10" ht="70.150000000000006" customHeight="1" x14ac:dyDescent="0.25">
      <c r="C11" s="84"/>
      <c r="D11" s="88" t="s">
        <v>32</v>
      </c>
      <c r="E11" s="24" t="s">
        <v>52</v>
      </c>
      <c r="F11" s="31" t="s">
        <v>8</v>
      </c>
      <c r="G11" s="28">
        <v>308</v>
      </c>
      <c r="H11" s="38">
        <f>82.2845*1000</f>
        <v>82284.5</v>
      </c>
      <c r="I11" s="54">
        <f t="shared" si="0"/>
        <v>25343626</v>
      </c>
      <c r="J11">
        <f>G11+G20+G27+G36+G40+G46</f>
        <v>361</v>
      </c>
    </row>
    <row r="12" spans="3:10" ht="19.899999999999999" customHeight="1" x14ac:dyDescent="0.25">
      <c r="C12" s="84"/>
      <c r="D12" s="91"/>
      <c r="E12" s="9" t="s">
        <v>53</v>
      </c>
      <c r="F12" s="31" t="s">
        <v>8</v>
      </c>
      <c r="G12" s="28">
        <v>7</v>
      </c>
      <c r="H12" s="38">
        <f>48.277*1000</f>
        <v>48277</v>
      </c>
      <c r="I12" s="54">
        <f t="shared" si="0"/>
        <v>337939</v>
      </c>
      <c r="J12">
        <f>G12+G21+G28+G41</f>
        <v>8</v>
      </c>
    </row>
    <row r="13" spans="3:10" ht="40.5" customHeight="1" x14ac:dyDescent="0.25">
      <c r="C13" s="84"/>
      <c r="D13" s="90"/>
      <c r="E13" s="24" t="s">
        <v>54</v>
      </c>
      <c r="F13" s="31" t="s">
        <v>8</v>
      </c>
      <c r="G13" s="28">
        <v>1</v>
      </c>
      <c r="H13" s="38">
        <f>90.3*1000</f>
        <v>90300</v>
      </c>
      <c r="I13" s="54">
        <f t="shared" si="0"/>
        <v>90300</v>
      </c>
      <c r="J13">
        <f>G13</f>
        <v>1</v>
      </c>
    </row>
    <row r="14" spans="3:10" ht="69" customHeight="1" x14ac:dyDescent="0.25">
      <c r="C14" s="84"/>
      <c r="D14" s="88" t="s">
        <v>33</v>
      </c>
      <c r="E14" s="24" t="s">
        <v>52</v>
      </c>
      <c r="F14" s="31" t="s">
        <v>8</v>
      </c>
      <c r="G14" s="28">
        <v>40</v>
      </c>
      <c r="H14" s="38">
        <v>85752.5</v>
      </c>
      <c r="I14" s="54">
        <f t="shared" si="0"/>
        <v>3430100</v>
      </c>
      <c r="J14">
        <f>G14</f>
        <v>40</v>
      </c>
    </row>
    <row r="15" spans="3:10" ht="20.45" customHeight="1" x14ac:dyDescent="0.25">
      <c r="C15" s="84"/>
      <c r="D15" s="89"/>
      <c r="E15" s="9" t="s">
        <v>53</v>
      </c>
      <c r="F15" s="31" t="s">
        <v>8</v>
      </c>
      <c r="G15" s="28">
        <v>1</v>
      </c>
      <c r="H15" s="38">
        <f>55.875*1000</f>
        <v>55875</v>
      </c>
      <c r="I15" s="54">
        <f t="shared" si="0"/>
        <v>55875</v>
      </c>
      <c r="J15">
        <f>G15</f>
        <v>1</v>
      </c>
    </row>
    <row r="16" spans="3:10" ht="27" customHeight="1" x14ac:dyDescent="0.25">
      <c r="C16" s="82"/>
      <c r="D16" s="57" t="s">
        <v>60</v>
      </c>
      <c r="E16" s="9" t="s">
        <v>61</v>
      </c>
      <c r="F16" s="31" t="s">
        <v>8</v>
      </c>
      <c r="G16" s="28">
        <v>230</v>
      </c>
      <c r="H16" s="38">
        <v>3725.2173899999998</v>
      </c>
      <c r="I16" s="54">
        <f t="shared" si="0"/>
        <v>856799.99969999993</v>
      </c>
    </row>
    <row r="17" spans="3:11" x14ac:dyDescent="0.25">
      <c r="C17" s="18"/>
      <c r="D17" s="19" t="s">
        <v>34</v>
      </c>
      <c r="E17" s="19"/>
      <c r="F17" s="32"/>
      <c r="G17" s="29">
        <f>SUM(G8:G16)</f>
        <v>825</v>
      </c>
      <c r="H17" s="29"/>
      <c r="I17" s="60">
        <f t="shared" ref="I17" si="1">SUM(I8:I16)</f>
        <v>48087015.999700002</v>
      </c>
    </row>
    <row r="18" spans="3:11" ht="69.599999999999994" customHeight="1" x14ac:dyDescent="0.25">
      <c r="C18" s="83" t="s">
        <v>35</v>
      </c>
      <c r="D18" s="88" t="s">
        <v>31</v>
      </c>
      <c r="E18" s="24" t="s">
        <v>52</v>
      </c>
      <c r="F18" s="31" t="s">
        <v>8</v>
      </c>
      <c r="G18" s="28">
        <v>7</v>
      </c>
      <c r="H18" s="38">
        <f>422.12857*1000</f>
        <v>422128.57</v>
      </c>
      <c r="I18" s="54">
        <f t="shared" si="0"/>
        <v>2954899.99</v>
      </c>
    </row>
    <row r="19" spans="3:11" ht="24.6" customHeight="1" x14ac:dyDescent="0.25">
      <c r="C19" s="102"/>
      <c r="D19" s="90"/>
      <c r="E19" s="9" t="s">
        <v>53</v>
      </c>
      <c r="F19" s="31" t="s">
        <v>8</v>
      </c>
      <c r="G19" s="28">
        <v>1</v>
      </c>
      <c r="H19" s="38">
        <f>408.4*1000</f>
        <v>408400</v>
      </c>
      <c r="I19" s="54">
        <f t="shared" si="0"/>
        <v>408400</v>
      </c>
    </row>
    <row r="20" spans="3:11" ht="69" customHeight="1" x14ac:dyDescent="0.25">
      <c r="C20" s="102"/>
      <c r="D20" s="88" t="s">
        <v>32</v>
      </c>
      <c r="E20" s="24" t="s">
        <v>52</v>
      </c>
      <c r="F20" s="31" t="s">
        <v>8</v>
      </c>
      <c r="G20" s="28">
        <v>6</v>
      </c>
      <c r="H20" s="38">
        <f>802.2667*1000</f>
        <v>802266.70000000007</v>
      </c>
      <c r="I20" s="54">
        <f t="shared" si="0"/>
        <v>4813600.2</v>
      </c>
    </row>
    <row r="21" spans="3:11" ht="19.899999999999999" customHeight="1" x14ac:dyDescent="0.25">
      <c r="C21" s="102"/>
      <c r="D21" s="89"/>
      <c r="E21" s="9" t="s">
        <v>53</v>
      </c>
      <c r="F21" s="31" t="s">
        <v>8</v>
      </c>
      <c r="G21" s="28">
        <v>1</v>
      </c>
      <c r="H21" s="38">
        <f>542.3*1000</f>
        <v>542300</v>
      </c>
      <c r="I21" s="54">
        <f t="shared" si="0"/>
        <v>542300</v>
      </c>
    </row>
    <row r="22" spans="3:11" ht="69" customHeight="1" x14ac:dyDescent="0.25">
      <c r="C22" s="102"/>
      <c r="D22" s="17" t="s">
        <v>36</v>
      </c>
      <c r="E22" s="17"/>
      <c r="F22" s="31" t="s">
        <v>8</v>
      </c>
      <c r="G22" s="28">
        <v>6</v>
      </c>
      <c r="H22" s="38">
        <f>353.38*1000</f>
        <v>353380</v>
      </c>
      <c r="I22" s="54">
        <f t="shared" si="0"/>
        <v>2120280</v>
      </c>
      <c r="J22">
        <f>G22+G29+G42+G47+G51+G54+G57+G60+G63</f>
        <v>271</v>
      </c>
    </row>
    <row r="23" spans="3:11" x14ac:dyDescent="0.25">
      <c r="C23" s="102"/>
      <c r="D23" s="20" t="s">
        <v>37</v>
      </c>
      <c r="E23" s="20"/>
      <c r="F23" s="31" t="s">
        <v>8</v>
      </c>
      <c r="G23" s="28">
        <v>6</v>
      </c>
      <c r="H23" s="38">
        <f>108.6663*1000</f>
        <v>108666.3</v>
      </c>
      <c r="I23" s="54">
        <f t="shared" si="0"/>
        <v>651997.80000000005</v>
      </c>
    </row>
    <row r="24" spans="3:11" ht="30" x14ac:dyDescent="0.25">
      <c r="C24" s="82"/>
      <c r="D24" s="57" t="s">
        <v>60</v>
      </c>
      <c r="E24" s="9" t="s">
        <v>61</v>
      </c>
      <c r="F24" s="31" t="s">
        <v>8</v>
      </c>
      <c r="G24" s="28">
        <v>10</v>
      </c>
      <c r="H24" s="38">
        <v>3500</v>
      </c>
      <c r="I24" s="54">
        <f t="shared" si="0"/>
        <v>35000</v>
      </c>
    </row>
    <row r="25" spans="3:11" x14ac:dyDescent="0.25">
      <c r="C25" s="18"/>
      <c r="D25" s="19" t="s">
        <v>34</v>
      </c>
      <c r="E25" s="19"/>
      <c r="F25" s="32"/>
      <c r="G25" s="29">
        <f>SUM(G18:G24)</f>
        <v>37</v>
      </c>
      <c r="H25" s="29"/>
      <c r="I25" s="59">
        <f t="shared" ref="I25" si="2">SUM(I18:I24)</f>
        <v>11526477.990000002</v>
      </c>
    </row>
    <row r="26" spans="3:11" ht="74.45" customHeight="1" x14ac:dyDescent="0.25">
      <c r="C26" s="83" t="s">
        <v>38</v>
      </c>
      <c r="D26" s="17" t="s">
        <v>31</v>
      </c>
      <c r="E26" s="24" t="s">
        <v>52</v>
      </c>
      <c r="F26" s="31" t="s">
        <v>8</v>
      </c>
      <c r="G26" s="28">
        <v>9</v>
      </c>
      <c r="H26" s="38">
        <f>323.844*1000</f>
        <v>323844</v>
      </c>
      <c r="I26" s="54">
        <f t="shared" si="0"/>
        <v>2914596</v>
      </c>
    </row>
    <row r="27" spans="3:11" ht="71.45" customHeight="1" x14ac:dyDescent="0.25">
      <c r="C27" s="102"/>
      <c r="D27" s="88" t="s">
        <v>32</v>
      </c>
      <c r="E27" s="24" t="s">
        <v>52</v>
      </c>
      <c r="F27" s="31" t="s">
        <v>8</v>
      </c>
      <c r="G27" s="28">
        <v>13</v>
      </c>
      <c r="H27" s="38">
        <f>530.238*1000</f>
        <v>530238</v>
      </c>
      <c r="I27" s="54">
        <f t="shared" si="0"/>
        <v>6893094</v>
      </c>
    </row>
    <row r="28" spans="3:11" ht="30" customHeight="1" x14ac:dyDescent="0.25">
      <c r="C28" s="102"/>
      <c r="D28" s="89"/>
      <c r="E28" s="9" t="s">
        <v>53</v>
      </c>
      <c r="F28" s="31" t="s">
        <v>8</v>
      </c>
      <c r="G28" s="28"/>
      <c r="H28" s="38"/>
      <c r="I28" s="54"/>
    </row>
    <row r="29" spans="3:11" ht="69.599999999999994" customHeight="1" x14ac:dyDescent="0.25">
      <c r="C29" s="102"/>
      <c r="D29" s="25" t="s">
        <v>36</v>
      </c>
      <c r="E29" s="17"/>
      <c r="F29" s="31" t="s">
        <v>8</v>
      </c>
      <c r="G29" s="28">
        <v>16</v>
      </c>
      <c r="H29" s="38">
        <f>149.406*1000</f>
        <v>149406</v>
      </c>
      <c r="I29" s="54">
        <f t="shared" si="0"/>
        <v>2390496</v>
      </c>
      <c r="J29">
        <f>K29/G29</f>
        <v>148350</v>
      </c>
      <c r="K29">
        <v>2373600</v>
      </c>
    </row>
    <row r="30" spans="3:11" x14ac:dyDescent="0.25">
      <c r="C30" s="102"/>
      <c r="D30" s="20" t="s">
        <v>37</v>
      </c>
      <c r="E30" s="20"/>
      <c r="F30" s="31" t="s">
        <v>8</v>
      </c>
      <c r="G30" s="28">
        <v>16</v>
      </c>
      <c r="H30" s="38">
        <v>85626.85</v>
      </c>
      <c r="I30" s="54">
        <f t="shared" si="0"/>
        <v>1370029.6</v>
      </c>
      <c r="J30">
        <f>K30/G30</f>
        <v>74062.5</v>
      </c>
      <c r="K30">
        <v>1185000</v>
      </c>
    </row>
    <row r="31" spans="3:11" ht="30" x14ac:dyDescent="0.25">
      <c r="C31" s="82"/>
      <c r="D31" s="57" t="s">
        <v>60</v>
      </c>
      <c r="E31" s="9" t="s">
        <v>61</v>
      </c>
      <c r="F31" s="31" t="s">
        <v>8</v>
      </c>
      <c r="G31" s="28">
        <v>17</v>
      </c>
      <c r="H31" s="38">
        <v>3500</v>
      </c>
      <c r="I31" s="54">
        <f t="shared" si="0"/>
        <v>59500</v>
      </c>
    </row>
    <row r="32" spans="3:11" x14ac:dyDescent="0.25">
      <c r="C32" s="18"/>
      <c r="D32" s="19" t="s">
        <v>34</v>
      </c>
      <c r="E32" s="19"/>
      <c r="F32" s="32"/>
      <c r="G32" s="38">
        <f>SUM(G26:G31)</f>
        <v>71</v>
      </c>
      <c r="H32" s="38"/>
      <c r="I32" s="38">
        <f t="shared" ref="I32" si="3">SUM(I26:I31)</f>
        <v>13627715.6</v>
      </c>
      <c r="K32">
        <f>SUM(K29:K30)</f>
        <v>3558600</v>
      </c>
    </row>
    <row r="33" spans="3:9" ht="69.599999999999994" customHeight="1" x14ac:dyDescent="0.25">
      <c r="C33" s="76" t="s">
        <v>39</v>
      </c>
      <c r="D33" s="92" t="s">
        <v>31</v>
      </c>
      <c r="E33" s="24" t="s">
        <v>52</v>
      </c>
      <c r="F33" s="32" t="s">
        <v>8</v>
      </c>
      <c r="G33" s="29">
        <v>9</v>
      </c>
      <c r="H33" s="38">
        <v>240255.56</v>
      </c>
      <c r="I33" s="54">
        <f>G33*H33</f>
        <v>2162300.04</v>
      </c>
    </row>
    <row r="34" spans="3:9" ht="26.45" customHeight="1" x14ac:dyDescent="0.25">
      <c r="C34" s="81"/>
      <c r="D34" s="93"/>
      <c r="E34" s="9" t="s">
        <v>53</v>
      </c>
      <c r="F34" s="32" t="s">
        <v>8</v>
      </c>
      <c r="G34" s="29">
        <v>2</v>
      </c>
      <c r="H34" s="38">
        <v>172300</v>
      </c>
      <c r="I34" s="54">
        <f>G34*H34</f>
        <v>344600</v>
      </c>
    </row>
    <row r="35" spans="3:9" ht="26.45" customHeight="1" x14ac:dyDescent="0.25">
      <c r="C35" s="81"/>
      <c r="D35" s="89"/>
      <c r="E35" s="24" t="s">
        <v>54</v>
      </c>
      <c r="F35" s="31" t="s">
        <v>8</v>
      </c>
      <c r="G35" s="29">
        <v>1</v>
      </c>
      <c r="H35" s="38">
        <v>149200</v>
      </c>
      <c r="I35" s="54">
        <f>G35*H35</f>
        <v>149200</v>
      </c>
    </row>
    <row r="36" spans="3:9" ht="69" customHeight="1" x14ac:dyDescent="0.25">
      <c r="C36" s="81"/>
      <c r="D36" s="45" t="s">
        <v>32</v>
      </c>
      <c r="E36" s="24" t="s">
        <v>52</v>
      </c>
      <c r="F36" s="32" t="s">
        <v>8</v>
      </c>
      <c r="G36" s="29">
        <v>24</v>
      </c>
      <c r="H36" s="38">
        <v>274032.90000000002</v>
      </c>
      <c r="I36" s="54">
        <f t="shared" ref="I36:I49" si="4">G36*H36</f>
        <v>6576789.6000000006</v>
      </c>
    </row>
    <row r="37" spans="3:9" ht="35.450000000000003" customHeight="1" x14ac:dyDescent="0.25">
      <c r="C37" s="82"/>
      <c r="D37" s="57" t="s">
        <v>60</v>
      </c>
      <c r="E37" s="9" t="s">
        <v>61</v>
      </c>
      <c r="F37" s="31" t="s">
        <v>8</v>
      </c>
      <c r="G37" s="29">
        <v>24</v>
      </c>
      <c r="H37" s="38">
        <v>3500</v>
      </c>
      <c r="I37" s="54">
        <f t="shared" si="4"/>
        <v>84000</v>
      </c>
    </row>
    <row r="38" spans="3:9" ht="17.45" customHeight="1" x14ac:dyDescent="0.25">
      <c r="C38" s="18"/>
      <c r="D38" s="19" t="s">
        <v>34</v>
      </c>
      <c r="E38" s="19"/>
      <c r="F38" s="32"/>
      <c r="G38" s="29">
        <f>SUM(G33:G37)</f>
        <v>60</v>
      </c>
      <c r="H38" s="29"/>
      <c r="I38" s="59">
        <f t="shared" ref="I38" si="5">SUM(I33:I37)</f>
        <v>9316889.6400000006</v>
      </c>
    </row>
    <row r="39" spans="3:9" ht="72" hidden="1" customHeight="1" x14ac:dyDescent="0.25">
      <c r="C39" s="76" t="s">
        <v>40</v>
      </c>
      <c r="D39" s="45" t="s">
        <v>31</v>
      </c>
      <c r="E39" s="24" t="s">
        <v>52</v>
      </c>
      <c r="F39" s="32" t="s">
        <v>8</v>
      </c>
      <c r="G39" s="29"/>
      <c r="H39" s="38"/>
      <c r="I39" s="54">
        <f t="shared" si="4"/>
        <v>0</v>
      </c>
    </row>
    <row r="40" spans="3:9" ht="70.900000000000006" hidden="1" customHeight="1" x14ac:dyDescent="0.25">
      <c r="C40" s="81"/>
      <c r="D40" s="92" t="s">
        <v>32</v>
      </c>
      <c r="E40" s="24" t="s">
        <v>52</v>
      </c>
      <c r="F40" s="32" t="s">
        <v>8</v>
      </c>
      <c r="G40" s="29"/>
      <c r="H40" s="38"/>
      <c r="I40" s="54">
        <f t="shared" si="4"/>
        <v>0</v>
      </c>
    </row>
    <row r="41" spans="3:9" ht="24.6" hidden="1" customHeight="1" x14ac:dyDescent="0.25">
      <c r="C41" s="81"/>
      <c r="D41" s="89"/>
      <c r="E41" s="9" t="s">
        <v>53</v>
      </c>
      <c r="F41" s="32" t="s">
        <v>8</v>
      </c>
      <c r="G41" s="29"/>
      <c r="H41" s="38"/>
      <c r="I41" s="54">
        <f t="shared" si="4"/>
        <v>0</v>
      </c>
    </row>
    <row r="42" spans="3:9" ht="70.900000000000006" hidden="1" customHeight="1" x14ac:dyDescent="0.25">
      <c r="C42" s="81"/>
      <c r="D42" s="21" t="s">
        <v>36</v>
      </c>
      <c r="E42" s="21"/>
      <c r="F42" s="32" t="s">
        <v>8</v>
      </c>
      <c r="G42" s="29"/>
      <c r="H42" s="38"/>
      <c r="I42" s="54">
        <f t="shared" si="4"/>
        <v>0</v>
      </c>
    </row>
    <row r="43" spans="3:9" hidden="1" x14ac:dyDescent="0.25">
      <c r="C43" s="101"/>
      <c r="D43" s="22" t="s">
        <v>37</v>
      </c>
      <c r="E43" s="22"/>
      <c r="F43" s="32" t="s">
        <v>8</v>
      </c>
      <c r="G43" s="29"/>
      <c r="H43" s="38"/>
      <c r="I43" s="54">
        <f t="shared" si="4"/>
        <v>0</v>
      </c>
    </row>
    <row r="44" spans="3:9" hidden="1" x14ac:dyDescent="0.25">
      <c r="C44" s="18"/>
      <c r="D44" s="19" t="s">
        <v>34</v>
      </c>
      <c r="E44" s="19"/>
      <c r="F44" s="32"/>
      <c r="G44" s="54">
        <f>SUM(G39:G43)</f>
        <v>0</v>
      </c>
      <c r="H44" s="38"/>
      <c r="I44" s="54">
        <f>SUM(I39:I43)</f>
        <v>0</v>
      </c>
    </row>
    <row r="45" spans="3:9" ht="70.900000000000006" customHeight="1" x14ac:dyDescent="0.25">
      <c r="C45" s="76" t="s">
        <v>41</v>
      </c>
      <c r="D45" s="21" t="s">
        <v>31</v>
      </c>
      <c r="E45" s="24" t="s">
        <v>52</v>
      </c>
      <c r="F45" s="32" t="s">
        <v>8</v>
      </c>
      <c r="G45" s="29">
        <v>8</v>
      </c>
      <c r="H45" s="38">
        <v>296281.25</v>
      </c>
      <c r="I45" s="54">
        <f t="shared" si="4"/>
        <v>2370250</v>
      </c>
    </row>
    <row r="46" spans="3:9" ht="67.150000000000006" customHeight="1" x14ac:dyDescent="0.25">
      <c r="C46" s="81"/>
      <c r="D46" s="21" t="s">
        <v>32</v>
      </c>
      <c r="E46" s="24" t="s">
        <v>52</v>
      </c>
      <c r="F46" s="32" t="s">
        <v>8</v>
      </c>
      <c r="G46" s="29">
        <v>10</v>
      </c>
      <c r="H46" s="38">
        <v>688995</v>
      </c>
      <c r="I46" s="54">
        <f t="shared" si="4"/>
        <v>6889950</v>
      </c>
    </row>
    <row r="47" spans="3:9" ht="70.900000000000006" customHeight="1" x14ac:dyDescent="0.25">
      <c r="C47" s="81"/>
      <c r="D47" s="21" t="s">
        <v>36</v>
      </c>
      <c r="E47" s="21"/>
      <c r="F47" s="32" t="s">
        <v>8</v>
      </c>
      <c r="G47" s="29">
        <v>8</v>
      </c>
      <c r="H47" s="38">
        <v>204400</v>
      </c>
      <c r="I47" s="54">
        <f t="shared" si="4"/>
        <v>1635200</v>
      </c>
    </row>
    <row r="48" spans="3:9" x14ac:dyDescent="0.25">
      <c r="C48" s="81"/>
      <c r="D48" s="22" t="s">
        <v>37</v>
      </c>
      <c r="E48" s="22"/>
      <c r="F48" s="32" t="s">
        <v>8</v>
      </c>
      <c r="G48" s="29">
        <v>8</v>
      </c>
      <c r="H48" s="38">
        <v>129253.6</v>
      </c>
      <c r="I48" s="54">
        <f t="shared" si="4"/>
        <v>1034028.8</v>
      </c>
    </row>
    <row r="49" spans="3:11" ht="30" x14ac:dyDescent="0.25">
      <c r="C49" s="82"/>
      <c r="D49" s="57" t="s">
        <v>60</v>
      </c>
      <c r="E49" s="9" t="s">
        <v>61</v>
      </c>
      <c r="F49" s="31" t="s">
        <v>8</v>
      </c>
      <c r="G49" s="29">
        <v>15</v>
      </c>
      <c r="H49" s="38">
        <v>3500</v>
      </c>
      <c r="I49" s="54">
        <f t="shared" si="4"/>
        <v>52500</v>
      </c>
    </row>
    <row r="50" spans="3:11" x14ac:dyDescent="0.25">
      <c r="C50" s="18"/>
      <c r="D50" s="19" t="s">
        <v>34</v>
      </c>
      <c r="E50" s="19"/>
      <c r="F50" s="32"/>
      <c r="G50" s="54">
        <f>SUM(G45:G49)</f>
        <v>49</v>
      </c>
      <c r="H50" s="38"/>
      <c r="I50" s="38">
        <f t="shared" ref="I50" si="6">SUM(I45:I49)</f>
        <v>11981928.800000001</v>
      </c>
    </row>
    <row r="51" spans="3:11" ht="71.45" customHeight="1" x14ac:dyDescent="0.25">
      <c r="C51" s="18" t="s">
        <v>42</v>
      </c>
      <c r="D51" s="21" t="s">
        <v>36</v>
      </c>
      <c r="E51" s="21"/>
      <c r="F51" s="32" t="s">
        <v>8</v>
      </c>
      <c r="G51" s="29">
        <v>76</v>
      </c>
      <c r="H51" s="38">
        <f>130.66053*1000</f>
        <v>130660.53</v>
      </c>
      <c r="I51" s="54">
        <f>H51*G51</f>
        <v>9930200.2799999993</v>
      </c>
      <c r="J51">
        <f>K51/G51</f>
        <v>94809</v>
      </c>
      <c r="K51">
        <v>7205484</v>
      </c>
    </row>
    <row r="52" spans="3:11" x14ac:dyDescent="0.25">
      <c r="C52" s="18"/>
      <c r="D52" s="22" t="s">
        <v>37</v>
      </c>
      <c r="E52" s="22"/>
      <c r="F52" s="32" t="s">
        <v>8</v>
      </c>
      <c r="G52" s="29">
        <v>76</v>
      </c>
      <c r="H52" s="38">
        <f>48.88289*1000</f>
        <v>48882.890000000007</v>
      </c>
      <c r="I52" s="54">
        <f>H52*G52</f>
        <v>3715099.6400000006</v>
      </c>
      <c r="J52">
        <f>K52/G52</f>
        <v>38947</v>
      </c>
      <c r="K52">
        <v>2959972</v>
      </c>
    </row>
    <row r="53" spans="3:11" x14ac:dyDescent="0.25">
      <c r="C53" s="18"/>
      <c r="D53" s="18" t="s">
        <v>34</v>
      </c>
      <c r="E53" s="18"/>
      <c r="F53" s="32"/>
      <c r="G53" s="54">
        <f t="shared" ref="G53" si="7">SUM(G51:G52)</f>
        <v>152</v>
      </c>
      <c r="H53" s="38"/>
      <c r="I53" s="54">
        <f>SUM(I51:I52)</f>
        <v>13645299.92</v>
      </c>
    </row>
    <row r="54" spans="3:11" ht="71.45" hidden="1" customHeight="1" x14ac:dyDescent="0.25">
      <c r="C54" s="18" t="s">
        <v>43</v>
      </c>
      <c r="D54" s="21" t="s">
        <v>36</v>
      </c>
      <c r="E54" s="21"/>
      <c r="F54" s="32" t="s">
        <v>8</v>
      </c>
      <c r="G54" s="29"/>
      <c r="H54" s="38"/>
      <c r="I54" s="54">
        <f>H54*G54</f>
        <v>0</v>
      </c>
      <c r="J54" t="e">
        <f>K54/G54</f>
        <v>#DIV/0!</v>
      </c>
      <c r="K54">
        <v>2976400</v>
      </c>
    </row>
    <row r="55" spans="3:11" hidden="1" x14ac:dyDescent="0.25">
      <c r="C55" s="18"/>
      <c r="D55" s="22" t="s">
        <v>37</v>
      </c>
      <c r="E55" s="22"/>
      <c r="F55" s="32" t="s">
        <v>8</v>
      </c>
      <c r="G55" s="29"/>
      <c r="H55" s="38"/>
      <c r="I55" s="54">
        <f>H55*G55</f>
        <v>0</v>
      </c>
      <c r="J55" t="e">
        <f>K55/G55</f>
        <v>#DIV/0!</v>
      </c>
      <c r="K55">
        <v>1114000</v>
      </c>
    </row>
    <row r="56" spans="3:11" hidden="1" x14ac:dyDescent="0.25">
      <c r="C56" s="18"/>
      <c r="D56" s="18" t="s">
        <v>34</v>
      </c>
      <c r="E56" s="18"/>
      <c r="F56" s="32"/>
      <c r="G56" s="54">
        <f t="shared" ref="G56" si="8">SUM(G54:G55)</f>
        <v>0</v>
      </c>
      <c r="H56" s="38"/>
      <c r="I56" s="54">
        <f>SUM(I54:I55)</f>
        <v>0</v>
      </c>
    </row>
    <row r="57" spans="3:11" ht="70.900000000000006" customHeight="1" x14ac:dyDescent="0.25">
      <c r="C57" s="18" t="s">
        <v>44</v>
      </c>
      <c r="D57" s="21" t="s">
        <v>36</v>
      </c>
      <c r="E57" s="21"/>
      <c r="F57" s="32" t="s">
        <v>8</v>
      </c>
      <c r="G57" s="29">
        <v>101</v>
      </c>
      <c r="H57" s="38">
        <f>116.222059*1000</f>
        <v>116222.05900000001</v>
      </c>
      <c r="I57" s="54">
        <f>H57*G57</f>
        <v>11738427.959000001</v>
      </c>
      <c r="J57">
        <f>K57/G57</f>
        <v>109515.84158415842</v>
      </c>
      <c r="K57">
        <v>11061100</v>
      </c>
    </row>
    <row r="58" spans="3:11" x14ac:dyDescent="0.25">
      <c r="C58" s="18"/>
      <c r="D58" s="22" t="s">
        <v>37</v>
      </c>
      <c r="E58" s="22"/>
      <c r="F58" s="32" t="s">
        <v>8</v>
      </c>
      <c r="G58" s="29">
        <v>101</v>
      </c>
      <c r="H58" s="38">
        <f>43.772*1000</f>
        <v>43772</v>
      </c>
      <c r="I58" s="54">
        <f>H58*G58</f>
        <v>4420972</v>
      </c>
      <c r="J58">
        <f>K58/G58</f>
        <v>45168.316831683165</v>
      </c>
      <c r="K58">
        <v>4562000</v>
      </c>
    </row>
    <row r="59" spans="3:11" x14ac:dyDescent="0.25">
      <c r="C59" s="18"/>
      <c r="D59" s="18" t="s">
        <v>34</v>
      </c>
      <c r="E59" s="18"/>
      <c r="F59" s="32"/>
      <c r="G59" s="54">
        <f t="shared" ref="G59" si="9">SUM(G57:G58)</f>
        <v>202</v>
      </c>
      <c r="H59" s="38"/>
      <c r="I59" s="54">
        <f>SUM(I57:I58)</f>
        <v>16159399.959000001</v>
      </c>
    </row>
    <row r="60" spans="3:11" ht="69.599999999999994" customHeight="1" x14ac:dyDescent="0.25">
      <c r="C60" s="18" t="s">
        <v>45</v>
      </c>
      <c r="D60" s="21" t="s">
        <v>36</v>
      </c>
      <c r="E60" s="21"/>
      <c r="F60" s="32" t="s">
        <v>8</v>
      </c>
      <c r="G60" s="29">
        <v>64</v>
      </c>
      <c r="H60" s="38">
        <f>142.040625*1000</f>
        <v>142040.625</v>
      </c>
      <c r="I60" s="54">
        <f>H60*G60</f>
        <v>9090600</v>
      </c>
      <c r="J60">
        <f>K60/G60</f>
        <v>89345.3125</v>
      </c>
      <c r="K60">
        <v>5718100</v>
      </c>
    </row>
    <row r="61" spans="3:11" x14ac:dyDescent="0.25">
      <c r="C61" s="18"/>
      <c r="D61" s="22" t="s">
        <v>37</v>
      </c>
      <c r="E61" s="22"/>
      <c r="F61" s="32" t="s">
        <v>8</v>
      </c>
      <c r="G61" s="29">
        <v>64</v>
      </c>
      <c r="H61" s="38">
        <f>62.2875*1000</f>
        <v>62287.5</v>
      </c>
      <c r="I61" s="54">
        <f>H61*G61</f>
        <v>3986400</v>
      </c>
      <c r="J61">
        <f>K61/G61</f>
        <v>39734.375</v>
      </c>
      <c r="K61">
        <v>2543000</v>
      </c>
    </row>
    <row r="62" spans="3:11" x14ac:dyDescent="0.25">
      <c r="C62" s="18"/>
      <c r="D62" s="18" t="s">
        <v>34</v>
      </c>
      <c r="E62" s="18"/>
      <c r="F62" s="32"/>
      <c r="G62" s="54">
        <f t="shared" ref="G62" si="10">SUM(G60:G61)</f>
        <v>128</v>
      </c>
      <c r="H62" s="38"/>
      <c r="I62" s="54">
        <f>SUM(I60:I61)</f>
        <v>13077000</v>
      </c>
    </row>
    <row r="63" spans="3:11" ht="68.45" hidden="1" customHeight="1" x14ac:dyDescent="0.25">
      <c r="C63" s="18" t="s">
        <v>46</v>
      </c>
      <c r="D63" s="21" t="s">
        <v>36</v>
      </c>
      <c r="E63" s="21"/>
      <c r="F63" s="32" t="s">
        <v>8</v>
      </c>
      <c r="G63" s="29"/>
      <c r="H63" s="38"/>
      <c r="I63" s="54">
        <f>H63*G63</f>
        <v>0</v>
      </c>
      <c r="J63" t="e">
        <f>K63/G63</f>
        <v>#DIV/0!</v>
      </c>
      <c r="K63">
        <v>2763100</v>
      </c>
    </row>
    <row r="64" spans="3:11" hidden="1" x14ac:dyDescent="0.25">
      <c r="C64" s="18"/>
      <c r="D64" s="22" t="s">
        <v>37</v>
      </c>
      <c r="E64" s="22"/>
      <c r="F64" s="32" t="s">
        <v>8</v>
      </c>
      <c r="G64" s="29"/>
      <c r="H64" s="38"/>
      <c r="I64" s="54">
        <f>H64*G64</f>
        <v>0</v>
      </c>
      <c r="J64" t="e">
        <f>K64/G64</f>
        <v>#DIV/0!</v>
      </c>
      <c r="K64">
        <v>1040000</v>
      </c>
    </row>
    <row r="65" spans="3:9" hidden="1" x14ac:dyDescent="0.25">
      <c r="C65" s="18"/>
      <c r="D65" s="18" t="s">
        <v>34</v>
      </c>
      <c r="E65" s="18"/>
      <c r="F65" s="32"/>
      <c r="G65" s="54">
        <f t="shared" ref="G65" si="11">SUM(G63:G64)</f>
        <v>0</v>
      </c>
      <c r="H65" s="38"/>
      <c r="I65" s="54">
        <f>SUM(I63:I64)</f>
        <v>0</v>
      </c>
    </row>
    <row r="66" spans="3:9" ht="57" customHeight="1" x14ac:dyDescent="0.25">
      <c r="C66" s="18" t="s">
        <v>47</v>
      </c>
      <c r="D66" s="21" t="s">
        <v>48</v>
      </c>
      <c r="E66" s="21"/>
      <c r="F66" s="32" t="s">
        <v>49</v>
      </c>
      <c r="G66" s="29">
        <v>143640</v>
      </c>
      <c r="H66" s="58">
        <f>75.337403</f>
        <v>75.337402999999995</v>
      </c>
      <c r="I66" s="54">
        <f>G66*H66</f>
        <v>10821464.566919999</v>
      </c>
    </row>
    <row r="67" spans="3:9" x14ac:dyDescent="0.25">
      <c r="C67" s="18"/>
      <c r="D67" s="18" t="s">
        <v>34</v>
      </c>
      <c r="E67" s="18"/>
      <c r="F67" s="32"/>
      <c r="G67" s="29">
        <f>G66</f>
        <v>143640</v>
      </c>
      <c r="H67" s="29"/>
      <c r="I67" s="44">
        <f>I66</f>
        <v>10821464.566919999</v>
      </c>
    </row>
    <row r="68" spans="3:9" ht="97.9" customHeight="1" x14ac:dyDescent="0.25">
      <c r="C68" s="18" t="s">
        <v>50</v>
      </c>
      <c r="D68" s="21" t="s">
        <v>51</v>
      </c>
      <c r="E68" s="21"/>
      <c r="F68" s="32" t="s">
        <v>6</v>
      </c>
      <c r="G68" s="29">
        <v>8</v>
      </c>
      <c r="H68" s="38">
        <v>1758412.5</v>
      </c>
      <c r="I68" s="54">
        <f>G68*H68</f>
        <v>14067300</v>
      </c>
    </row>
    <row r="69" spans="3:9" x14ac:dyDescent="0.25">
      <c r="C69" s="18"/>
      <c r="D69" s="18" t="s">
        <v>34</v>
      </c>
      <c r="E69" s="18"/>
      <c r="F69" s="32"/>
      <c r="G69" s="29">
        <v>8</v>
      </c>
      <c r="H69" s="38"/>
      <c r="I69" s="54">
        <f>I68</f>
        <v>14067300</v>
      </c>
    </row>
    <row r="70" spans="3:9" hidden="1" x14ac:dyDescent="0.25">
      <c r="C70" s="4" t="s">
        <v>20</v>
      </c>
      <c r="D70" s="4"/>
      <c r="E70" s="23"/>
      <c r="F70" s="33"/>
      <c r="G70" s="35">
        <f>G73+G76+G79+G81+G83</f>
        <v>304818</v>
      </c>
      <c r="H70" s="39">
        <f>I70/G70</f>
        <v>153.50974870250445</v>
      </c>
      <c r="I70" s="55">
        <f>I73+I76+I79+I81+I83</f>
        <v>46792534.580000006</v>
      </c>
    </row>
    <row r="71" spans="3:9" ht="96" hidden="1" x14ac:dyDescent="0.25">
      <c r="C71" s="87" t="s">
        <v>4</v>
      </c>
      <c r="D71" s="26" t="s">
        <v>5</v>
      </c>
      <c r="E71" s="23"/>
      <c r="F71" s="34" t="s">
        <v>6</v>
      </c>
      <c r="G71" s="36">
        <v>142</v>
      </c>
      <c r="H71" s="40">
        <v>127239.75</v>
      </c>
      <c r="I71" s="44">
        <f>G71*H71</f>
        <v>18068044.5</v>
      </c>
    </row>
    <row r="72" spans="3:9" ht="36" hidden="1" x14ac:dyDescent="0.25">
      <c r="C72" s="86"/>
      <c r="D72" s="26" t="s">
        <v>7</v>
      </c>
      <c r="E72" s="23"/>
      <c r="F72" s="34" t="s">
        <v>8</v>
      </c>
      <c r="G72" s="36">
        <v>199800</v>
      </c>
      <c r="H72" s="40">
        <v>27.98</v>
      </c>
      <c r="I72" s="44">
        <f>G72*H72</f>
        <v>5590404</v>
      </c>
    </row>
    <row r="73" spans="3:9" hidden="1" x14ac:dyDescent="0.25">
      <c r="C73" s="4" t="s">
        <v>9</v>
      </c>
      <c r="D73" s="27"/>
      <c r="E73" s="23"/>
      <c r="F73" s="30"/>
      <c r="G73" s="37">
        <f>SUM(G71:G72)</f>
        <v>199942</v>
      </c>
      <c r="H73" s="39">
        <f>I73/G73</f>
        <v>118.32655720158846</v>
      </c>
      <c r="I73" s="43">
        <f t="shared" ref="I73" si="12">SUM(I71:I72)</f>
        <v>23658448.5</v>
      </c>
    </row>
    <row r="74" spans="3:9" ht="60" hidden="1" x14ac:dyDescent="0.25">
      <c r="C74" s="87" t="s">
        <v>10</v>
      </c>
      <c r="D74" s="26" t="s">
        <v>11</v>
      </c>
      <c r="E74" s="23"/>
      <c r="F74" s="34" t="s">
        <v>8</v>
      </c>
      <c r="G74" s="36">
        <v>10850</v>
      </c>
      <c r="H74" s="40">
        <v>19.37</v>
      </c>
      <c r="I74" s="44">
        <f t="shared" ref="I74:I75" si="13">G74*H74</f>
        <v>210164.5</v>
      </c>
    </row>
    <row r="75" spans="3:9" ht="72" hidden="1" x14ac:dyDescent="0.25">
      <c r="C75" s="86"/>
      <c r="D75" s="26" t="s">
        <v>12</v>
      </c>
      <c r="E75" s="23"/>
      <c r="F75" s="34" t="s">
        <v>6</v>
      </c>
      <c r="G75" s="36">
        <v>4395</v>
      </c>
      <c r="H75" s="40">
        <v>583.55999999999995</v>
      </c>
      <c r="I75" s="44">
        <f t="shared" si="13"/>
        <v>2564746.1999999997</v>
      </c>
    </row>
    <row r="76" spans="3:9" hidden="1" x14ac:dyDescent="0.25">
      <c r="C76" s="4" t="s">
        <v>9</v>
      </c>
      <c r="D76" s="27"/>
      <c r="E76" s="23"/>
      <c r="F76" s="30"/>
      <c r="G76" s="37">
        <f>SUM(G74:G75)</f>
        <v>15245</v>
      </c>
      <c r="H76" s="39">
        <f>I76/G76</f>
        <v>182.02103640537879</v>
      </c>
      <c r="I76" s="43">
        <f t="shared" ref="I76" si="14">SUM(I74:I75)</f>
        <v>2774910.6999999997</v>
      </c>
    </row>
    <row r="77" spans="3:9" ht="84" hidden="1" x14ac:dyDescent="0.25">
      <c r="C77" s="87" t="s">
        <v>13</v>
      </c>
      <c r="D77" s="26" t="s">
        <v>14</v>
      </c>
      <c r="E77" s="23"/>
      <c r="F77" s="34" t="s">
        <v>8</v>
      </c>
      <c r="G77" s="36">
        <v>65000</v>
      </c>
      <c r="H77" s="40">
        <v>94.77</v>
      </c>
      <c r="I77" s="44">
        <f t="shared" ref="I77:I78" si="15">G77*H77</f>
        <v>6160050</v>
      </c>
    </row>
    <row r="78" spans="3:9" ht="36" hidden="1" x14ac:dyDescent="0.25">
      <c r="C78" s="86"/>
      <c r="D78" s="26" t="s">
        <v>16</v>
      </c>
      <c r="E78" s="23"/>
      <c r="F78" s="34" t="s">
        <v>6</v>
      </c>
      <c r="G78" s="36">
        <v>24520</v>
      </c>
      <c r="H78" s="40">
        <v>245.5</v>
      </c>
      <c r="I78" s="44">
        <f t="shared" si="15"/>
        <v>6019660</v>
      </c>
    </row>
    <row r="79" spans="3:9" hidden="1" x14ac:dyDescent="0.25">
      <c r="C79" s="4" t="s">
        <v>9</v>
      </c>
      <c r="D79" s="27"/>
      <c r="E79" s="23"/>
      <c r="F79" s="30"/>
      <c r="G79" s="37">
        <f>SUM(G77:G78)</f>
        <v>89520</v>
      </c>
      <c r="H79" s="39">
        <f>I79/G79</f>
        <v>136.05574173369081</v>
      </c>
      <c r="I79" s="43">
        <f>SUM(I77:I78)</f>
        <v>12179710</v>
      </c>
    </row>
    <row r="80" spans="3:9" ht="72" hidden="1" x14ac:dyDescent="0.25">
      <c r="C80" s="2" t="s">
        <v>17</v>
      </c>
      <c r="D80" s="26" t="s">
        <v>18</v>
      </c>
      <c r="E80" s="23"/>
      <c r="F80" s="34" t="s">
        <v>8</v>
      </c>
      <c r="G80" s="36">
        <v>65</v>
      </c>
      <c r="H80" s="40">
        <v>74872.88</v>
      </c>
      <c r="I80" s="44">
        <f>G80*H80</f>
        <v>4866737.2</v>
      </c>
    </row>
    <row r="81" spans="3:10" hidden="1" x14ac:dyDescent="0.25">
      <c r="C81" s="4" t="s">
        <v>9</v>
      </c>
      <c r="D81" s="27"/>
      <c r="E81" s="23"/>
      <c r="F81" s="30"/>
      <c r="G81" s="37">
        <f>SUM(G80)</f>
        <v>65</v>
      </c>
      <c r="H81" s="39">
        <f>I81/G81</f>
        <v>74872.88</v>
      </c>
      <c r="I81" s="43">
        <f t="shared" ref="I81" si="16">SUM(I80)</f>
        <v>4866737.2</v>
      </c>
    </row>
    <row r="82" spans="3:10" ht="72" hidden="1" x14ac:dyDescent="0.25">
      <c r="C82" s="2" t="s">
        <v>19</v>
      </c>
      <c r="D82" s="26" t="s">
        <v>18</v>
      </c>
      <c r="E82" s="23"/>
      <c r="F82" s="34" t="s">
        <v>8</v>
      </c>
      <c r="G82" s="36">
        <v>46</v>
      </c>
      <c r="H82" s="40">
        <v>72015.83</v>
      </c>
      <c r="I82" s="44">
        <f>G82*H82</f>
        <v>3312728.18</v>
      </c>
    </row>
    <row r="83" spans="3:10" hidden="1" x14ac:dyDescent="0.25">
      <c r="C83" s="4" t="s">
        <v>9</v>
      </c>
      <c r="D83" s="27"/>
      <c r="E83" s="23"/>
      <c r="F83" s="30"/>
      <c r="G83" s="37">
        <f>SUM(G82)</f>
        <v>46</v>
      </c>
      <c r="H83" s="39">
        <f t="shared" ref="H83:H84" si="17">I83/G83</f>
        <v>72015.83</v>
      </c>
      <c r="I83" s="43">
        <f t="shared" ref="I83" si="18">SUM(I82)</f>
        <v>3312728.18</v>
      </c>
    </row>
    <row r="84" spans="3:10" hidden="1" x14ac:dyDescent="0.25">
      <c r="C84" s="4" t="s">
        <v>21</v>
      </c>
      <c r="D84" s="13"/>
      <c r="E84" s="23"/>
      <c r="F84" s="34"/>
      <c r="G84" s="37">
        <f>SUM(G85:G88)</f>
        <v>152</v>
      </c>
      <c r="H84" s="39">
        <f t="shared" si="17"/>
        <v>20819.984210526316</v>
      </c>
      <c r="I84" s="43">
        <f t="shared" ref="I84" si="19">SUM(I85:I88)</f>
        <v>3164637.6</v>
      </c>
    </row>
    <row r="85" spans="3:10" ht="72" hidden="1" x14ac:dyDescent="0.25">
      <c r="C85" s="85" t="s">
        <v>27</v>
      </c>
      <c r="D85" s="11" t="s">
        <v>22</v>
      </c>
      <c r="E85" s="23"/>
      <c r="F85" s="12" t="s">
        <v>23</v>
      </c>
      <c r="G85" s="36">
        <v>32</v>
      </c>
      <c r="H85" s="40">
        <v>89519.91</v>
      </c>
      <c r="I85" s="44">
        <f t="shared" ref="I85:I88" si="20">G85*H85</f>
        <v>2864637.12</v>
      </c>
      <c r="J85" s="41"/>
    </row>
    <row r="86" spans="3:10" ht="36" hidden="1" x14ac:dyDescent="0.25">
      <c r="C86" s="86"/>
      <c r="D86" s="11" t="s">
        <v>24</v>
      </c>
      <c r="E86" s="23"/>
      <c r="F86" s="12" t="s">
        <v>23</v>
      </c>
      <c r="G86" s="36">
        <v>108</v>
      </c>
      <c r="H86" s="40">
        <v>2685.19</v>
      </c>
      <c r="I86" s="44">
        <f t="shared" si="20"/>
        <v>290000.52</v>
      </c>
      <c r="J86" s="41"/>
    </row>
    <row r="87" spans="3:10" ht="48" hidden="1" x14ac:dyDescent="0.25">
      <c r="C87" s="86"/>
      <c r="D87" s="11" t="s">
        <v>25</v>
      </c>
      <c r="E87" s="23"/>
      <c r="F87" s="12" t="s">
        <v>23</v>
      </c>
      <c r="G87" s="36">
        <v>12</v>
      </c>
      <c r="H87" s="40">
        <v>833.33</v>
      </c>
      <c r="I87" s="44">
        <f t="shared" si="20"/>
        <v>9999.9600000000009</v>
      </c>
      <c r="J87" s="41"/>
    </row>
    <row r="88" spans="3:10" ht="168" hidden="1" x14ac:dyDescent="0.25">
      <c r="C88" s="86"/>
      <c r="D88" s="11" t="s">
        <v>26</v>
      </c>
      <c r="E88" s="23"/>
      <c r="F88" s="12" t="s">
        <v>23</v>
      </c>
      <c r="G88" s="36">
        <v>0</v>
      </c>
      <c r="H88" s="40">
        <v>0</v>
      </c>
      <c r="I88" s="44">
        <f t="shared" si="20"/>
        <v>0</v>
      </c>
    </row>
    <row r="89" spans="3:10" hidden="1" x14ac:dyDescent="0.25">
      <c r="C89" s="4" t="s">
        <v>9</v>
      </c>
      <c r="D89" s="13"/>
      <c r="E89" s="13"/>
      <c r="F89" s="23"/>
      <c r="G89" s="42">
        <f>SUM(G85:G88)</f>
        <v>152</v>
      </c>
      <c r="H89" s="39">
        <f>I89/G89</f>
        <v>20819.984210526316</v>
      </c>
      <c r="I89" s="43">
        <f>SUM(I85:I88)</f>
        <v>3164637.6</v>
      </c>
    </row>
    <row r="90" spans="3:10" x14ac:dyDescent="0.25">
      <c r="C90" s="46" t="s">
        <v>55</v>
      </c>
      <c r="D90" s="47"/>
      <c r="E90" s="47"/>
      <c r="F90" s="48"/>
      <c r="G90" s="49">
        <f>G17+G25+G38+G44+G50+G53+G56+G59+G62+G65+G67+G69+G32</f>
        <v>145172</v>
      </c>
      <c r="H90" s="49">
        <f>H17+H25+H38+H44+H50+H53+H56+H59+H62+H65+H67+H69+H32</f>
        <v>0</v>
      </c>
      <c r="I90" s="56">
        <f>I17+I25+I38+I44+I50+I53+I56+I59+I62+I65+I67+I69+I32</f>
        <v>162310492.47562</v>
      </c>
    </row>
    <row r="91" spans="3:10" hidden="1" x14ac:dyDescent="0.25"/>
    <row r="92" spans="3:10" hidden="1" x14ac:dyDescent="0.25">
      <c r="C92" s="4" t="s">
        <v>20</v>
      </c>
      <c r="D92" s="4"/>
      <c r="E92" s="4"/>
      <c r="F92" s="4"/>
      <c r="G92" s="6">
        <f>G95+G98+G102+G104+G106</f>
        <v>295470</v>
      </c>
      <c r="H92" s="6">
        <f>I92/G92</f>
        <v>197.75627891156461</v>
      </c>
      <c r="I92" s="6">
        <f t="shared" ref="I92" si="21">I95+I98+I102+I104+I106</f>
        <v>58431047.729999997</v>
      </c>
    </row>
    <row r="93" spans="3:10" ht="64.5" hidden="1" customHeight="1" x14ac:dyDescent="0.25">
      <c r="C93" s="83" t="s">
        <v>4</v>
      </c>
      <c r="D93" s="3" t="s">
        <v>5</v>
      </c>
      <c r="E93" s="13"/>
      <c r="F93" s="13" t="s">
        <v>6</v>
      </c>
      <c r="G93" s="7">
        <v>142</v>
      </c>
      <c r="H93" s="7">
        <v>187212.68</v>
      </c>
      <c r="I93" s="7">
        <f>G93*H93</f>
        <v>26584200.559999999</v>
      </c>
    </row>
    <row r="94" spans="3:10" ht="36" hidden="1" x14ac:dyDescent="0.25">
      <c r="C94" s="82"/>
      <c r="D94" s="3" t="s">
        <v>7</v>
      </c>
      <c r="E94" s="13"/>
      <c r="F94" s="13" t="s">
        <v>8</v>
      </c>
      <c r="G94" s="7">
        <v>199000</v>
      </c>
      <c r="H94" s="7">
        <v>21.33</v>
      </c>
      <c r="I94" s="7">
        <f>G94*H94</f>
        <v>4244670</v>
      </c>
    </row>
    <row r="95" spans="3:10" hidden="1" x14ac:dyDescent="0.25">
      <c r="C95" s="4" t="s">
        <v>9</v>
      </c>
      <c r="D95" s="5"/>
      <c r="E95" s="14"/>
      <c r="F95" s="14"/>
      <c r="G95" s="8">
        <f>SUM(G93:G94)</f>
        <v>199142</v>
      </c>
      <c r="H95" s="6">
        <f>I95/G95</f>
        <v>154.80848118428057</v>
      </c>
      <c r="I95" s="8">
        <f t="shared" ref="I95" si="22">SUM(I93:I94)</f>
        <v>30828870.559999999</v>
      </c>
    </row>
    <row r="96" spans="3:10" ht="60" hidden="1" x14ac:dyDescent="0.25">
      <c r="C96" s="83" t="s">
        <v>10</v>
      </c>
      <c r="D96" s="3" t="s">
        <v>11</v>
      </c>
      <c r="E96" s="13"/>
      <c r="F96" s="13" t="s">
        <v>8</v>
      </c>
      <c r="G96" s="7">
        <v>10850</v>
      </c>
      <c r="H96" s="7">
        <v>142.61000000000001</v>
      </c>
      <c r="I96" s="7">
        <f t="shared" ref="I96:I97" si="23">G96*H96</f>
        <v>1547318.5000000002</v>
      </c>
    </row>
    <row r="97" spans="3:9" ht="72" hidden="1" x14ac:dyDescent="0.25">
      <c r="C97" s="82"/>
      <c r="D97" s="3" t="s">
        <v>12</v>
      </c>
      <c r="E97" s="13"/>
      <c r="F97" s="13" t="s">
        <v>6</v>
      </c>
      <c r="G97" s="7">
        <v>4468</v>
      </c>
      <c r="H97" s="7">
        <v>434.44</v>
      </c>
      <c r="I97" s="7">
        <f t="shared" si="23"/>
        <v>1941077.92</v>
      </c>
    </row>
    <row r="98" spans="3:9" hidden="1" x14ac:dyDescent="0.25">
      <c r="C98" s="4" t="s">
        <v>9</v>
      </c>
      <c r="D98" s="5"/>
      <c r="E98" s="14"/>
      <c r="F98" s="14"/>
      <c r="G98" s="8">
        <f>SUM(G96:G97)</f>
        <v>15318</v>
      </c>
      <c r="H98" s="6">
        <f>I98/G98</f>
        <v>227.73184619402011</v>
      </c>
      <c r="I98" s="8">
        <f t="shared" ref="I98" si="24">SUM(I96:I97)</f>
        <v>3488396.42</v>
      </c>
    </row>
    <row r="99" spans="3:9" ht="84" hidden="1" x14ac:dyDescent="0.25">
      <c r="C99" s="83" t="s">
        <v>13</v>
      </c>
      <c r="D99" s="3" t="s">
        <v>14</v>
      </c>
      <c r="E99" s="13"/>
      <c r="F99" s="13" t="s">
        <v>8</v>
      </c>
      <c r="G99" s="7">
        <v>65050</v>
      </c>
      <c r="H99" s="7">
        <v>72.040000000000006</v>
      </c>
      <c r="I99" s="7">
        <f t="shared" ref="I99:I101" si="25">G99*H99</f>
        <v>4686202</v>
      </c>
    </row>
    <row r="100" spans="3:9" ht="96" hidden="1" x14ac:dyDescent="0.25">
      <c r="C100" s="84"/>
      <c r="D100" s="3" t="s">
        <v>15</v>
      </c>
      <c r="E100" s="13"/>
      <c r="F100" s="13" t="s">
        <v>6</v>
      </c>
      <c r="G100" s="7"/>
      <c r="H100" s="7"/>
      <c r="I100" s="7">
        <f t="shared" si="25"/>
        <v>0</v>
      </c>
    </row>
    <row r="101" spans="3:9" ht="36" hidden="1" x14ac:dyDescent="0.25">
      <c r="C101" s="82"/>
      <c r="D101" s="3" t="s">
        <v>16</v>
      </c>
      <c r="E101" s="13"/>
      <c r="F101" s="13" t="s">
        <v>6</v>
      </c>
      <c r="G101" s="7">
        <v>15855</v>
      </c>
      <c r="H101" s="7">
        <v>710.93</v>
      </c>
      <c r="I101" s="7">
        <f t="shared" si="25"/>
        <v>11271795.149999999</v>
      </c>
    </row>
    <row r="102" spans="3:9" hidden="1" x14ac:dyDescent="0.25">
      <c r="C102" s="4" t="s">
        <v>9</v>
      </c>
      <c r="D102" s="5"/>
      <c r="E102" s="14"/>
      <c r="F102" s="14"/>
      <c r="G102" s="8">
        <f>SUM(G99:G101)</f>
        <v>80905</v>
      </c>
      <c r="H102" s="6">
        <f>I102/G102</f>
        <v>197.24364563376798</v>
      </c>
      <c r="I102" s="8">
        <f t="shared" ref="I102" si="26">SUM(I99:I101)</f>
        <v>15957997.149999999</v>
      </c>
    </row>
    <row r="103" spans="3:9" ht="72" hidden="1" x14ac:dyDescent="0.25">
      <c r="C103" s="50" t="s">
        <v>17</v>
      </c>
      <c r="D103" s="3" t="s">
        <v>18</v>
      </c>
      <c r="E103" s="13"/>
      <c r="F103" s="13" t="s">
        <v>57</v>
      </c>
      <c r="G103" s="7">
        <v>55</v>
      </c>
      <c r="H103" s="7">
        <v>79472.72</v>
      </c>
      <c r="I103" s="7">
        <f>G103*H103</f>
        <v>4370999.5999999996</v>
      </c>
    </row>
    <row r="104" spans="3:9" hidden="1" x14ac:dyDescent="0.25">
      <c r="C104" s="4" t="s">
        <v>9</v>
      </c>
      <c r="D104" s="5"/>
      <c r="E104" s="15"/>
      <c r="F104" s="15"/>
      <c r="G104" s="8">
        <f>SUM(G103)</f>
        <v>55</v>
      </c>
      <c r="H104" s="6">
        <f>I104/G104</f>
        <v>79472.719999999987</v>
      </c>
      <c r="I104" s="8">
        <f t="shared" ref="I104" si="27">SUM(I103)</f>
        <v>4370999.5999999996</v>
      </c>
    </row>
    <row r="105" spans="3:9" ht="72" hidden="1" x14ac:dyDescent="0.25">
      <c r="C105" s="50" t="s">
        <v>19</v>
      </c>
      <c r="D105" s="3" t="s">
        <v>18</v>
      </c>
      <c r="E105" s="13"/>
      <c r="F105" s="13" t="s">
        <v>8</v>
      </c>
      <c r="G105" s="7">
        <v>50</v>
      </c>
      <c r="H105" s="7">
        <v>75695.679999999993</v>
      </c>
      <c r="I105" s="7">
        <f>G105*H105</f>
        <v>3784783.9999999995</v>
      </c>
    </row>
    <row r="106" spans="3:9" hidden="1" x14ac:dyDescent="0.25">
      <c r="C106" s="4" t="s">
        <v>9</v>
      </c>
      <c r="D106" s="5"/>
      <c r="E106" s="15"/>
      <c r="F106" s="15"/>
      <c r="G106" s="8">
        <f>SUM(G105)</f>
        <v>50</v>
      </c>
      <c r="H106" s="6">
        <f t="shared" ref="H106:H107" si="28">I106/G106</f>
        <v>75695.679999999993</v>
      </c>
      <c r="I106" s="8">
        <f t="shared" ref="I106" si="29">SUM(I105)</f>
        <v>3784783.9999999995</v>
      </c>
    </row>
    <row r="107" spans="3:9" hidden="1" x14ac:dyDescent="0.25">
      <c r="C107" s="4" t="s">
        <v>21</v>
      </c>
      <c r="D107" s="16"/>
      <c r="E107" s="16"/>
      <c r="F107" s="16"/>
      <c r="G107" s="8">
        <f>SUM(G108:G111)</f>
        <v>167</v>
      </c>
      <c r="H107" s="6">
        <f t="shared" si="28"/>
        <v>20508.570359281439</v>
      </c>
      <c r="I107" s="8">
        <f t="shared" ref="I107" si="30">SUM(I108:I111)</f>
        <v>3424931.2500000005</v>
      </c>
    </row>
    <row r="108" spans="3:9" ht="72" hidden="1" x14ac:dyDescent="0.25">
      <c r="C108" s="85" t="s">
        <v>27</v>
      </c>
      <c r="D108" s="11" t="s">
        <v>22</v>
      </c>
      <c r="E108" s="12"/>
      <c r="F108" s="12" t="s">
        <v>23</v>
      </c>
      <c r="G108" s="10">
        <v>33</v>
      </c>
      <c r="H108" s="10">
        <v>94240.33</v>
      </c>
      <c r="I108" s="7">
        <f t="shared" ref="I108:I111" si="31">G108*H108</f>
        <v>3109930.89</v>
      </c>
    </row>
    <row r="109" spans="3:9" ht="36" hidden="1" x14ac:dyDescent="0.25">
      <c r="C109" s="86"/>
      <c r="D109" s="11" t="s">
        <v>24</v>
      </c>
      <c r="E109" s="12"/>
      <c r="F109" s="12" t="s">
        <v>23</v>
      </c>
      <c r="G109" s="10">
        <v>110</v>
      </c>
      <c r="H109" s="10">
        <v>2681.82</v>
      </c>
      <c r="I109" s="7">
        <f t="shared" si="31"/>
        <v>295000.2</v>
      </c>
    </row>
    <row r="110" spans="3:9" ht="48" hidden="1" x14ac:dyDescent="0.25">
      <c r="C110" s="86"/>
      <c r="D110" s="11" t="s">
        <v>25</v>
      </c>
      <c r="E110" s="12"/>
      <c r="F110" s="12" t="s">
        <v>23</v>
      </c>
      <c r="G110" s="10">
        <v>12</v>
      </c>
      <c r="H110" s="10">
        <v>833.34</v>
      </c>
      <c r="I110" s="7">
        <f t="shared" si="31"/>
        <v>10000.08</v>
      </c>
    </row>
    <row r="111" spans="3:9" ht="168" hidden="1" x14ac:dyDescent="0.25">
      <c r="C111" s="86"/>
      <c r="D111" s="11" t="s">
        <v>26</v>
      </c>
      <c r="E111" s="12"/>
      <c r="F111" s="12" t="s">
        <v>23</v>
      </c>
      <c r="G111" s="10">
        <v>12</v>
      </c>
      <c r="H111" s="10">
        <v>833.34</v>
      </c>
      <c r="I111" s="7">
        <f t="shared" si="31"/>
        <v>10000.08</v>
      </c>
    </row>
    <row r="112" spans="3:9" hidden="1" x14ac:dyDescent="0.25">
      <c r="C112" s="4" t="s">
        <v>9</v>
      </c>
      <c r="D112" s="13"/>
      <c r="E112" s="13"/>
      <c r="F112" s="13"/>
      <c r="G112" s="8">
        <f>SUM(G108:G111)</f>
        <v>167</v>
      </c>
      <c r="H112" s="6">
        <f>I112/G112</f>
        <v>20508.570359281439</v>
      </c>
      <c r="I112" s="8">
        <f t="shared" ref="I112" si="32">SUM(I108:I111)</f>
        <v>3424931.2500000005</v>
      </c>
    </row>
    <row r="113" spans="3:9" hidden="1" x14ac:dyDescent="0.25">
      <c r="C113" s="51" t="s">
        <v>56</v>
      </c>
      <c r="D113" s="9"/>
      <c r="E113" s="9"/>
      <c r="F113" s="9"/>
      <c r="G113" s="52"/>
      <c r="H113" s="52"/>
      <c r="I113" s="52"/>
    </row>
    <row r="114" spans="3:9" ht="90" hidden="1" x14ac:dyDescent="0.25">
      <c r="C114" s="9"/>
      <c r="D114" s="24" t="s">
        <v>59</v>
      </c>
      <c r="E114" s="9"/>
      <c r="F114" s="9" t="s">
        <v>58</v>
      </c>
      <c r="G114" s="53">
        <v>507</v>
      </c>
      <c r="H114" s="52">
        <f>I114/G114</f>
        <v>2230</v>
      </c>
      <c r="I114" s="52">
        <v>1130610</v>
      </c>
    </row>
    <row r="115" spans="3:9" hidden="1" x14ac:dyDescent="0.25">
      <c r="C115" s="9"/>
      <c r="D115" s="9"/>
      <c r="E115" s="9"/>
      <c r="F115" s="9"/>
      <c r="G115" s="52"/>
      <c r="H115" s="52"/>
      <c r="I115" s="52"/>
    </row>
    <row r="116" spans="3:9" hidden="1" x14ac:dyDescent="0.25">
      <c r="C116" s="1"/>
      <c r="D116" s="1"/>
      <c r="E116" s="1"/>
      <c r="F116" s="1"/>
      <c r="G116" s="1"/>
      <c r="H116" s="1"/>
      <c r="I116" s="1"/>
    </row>
    <row r="117" spans="3:9" hidden="1" x14ac:dyDescent="0.25"/>
    <row r="118" spans="3:9" x14ac:dyDescent="0.25">
      <c r="C118" s="61" t="s">
        <v>20</v>
      </c>
      <c r="D118" s="61"/>
      <c r="E118" s="61"/>
      <c r="F118" s="61"/>
      <c r="G118" s="62">
        <f>G121+G124+G128+G130+G132</f>
        <v>329340</v>
      </c>
      <c r="H118" s="62">
        <f>I118/G118</f>
        <v>212.35183093459648</v>
      </c>
      <c r="I118" s="62">
        <f t="shared" ref="I118" si="33">I121+I124+I128+I130+I132</f>
        <v>69935952</v>
      </c>
    </row>
    <row r="119" spans="3:9" ht="96" x14ac:dyDescent="0.25">
      <c r="C119" s="76" t="s">
        <v>4</v>
      </c>
      <c r="D119" s="63" t="s">
        <v>5</v>
      </c>
      <c r="E119" s="64"/>
      <c r="F119" s="64" t="s">
        <v>6</v>
      </c>
      <c r="G119" s="65">
        <v>142</v>
      </c>
      <c r="H119" s="65">
        <v>236390.31</v>
      </c>
      <c r="I119" s="65">
        <v>33567424</v>
      </c>
    </row>
    <row r="120" spans="3:9" ht="36" x14ac:dyDescent="0.25">
      <c r="C120" s="77"/>
      <c r="D120" s="63" t="s">
        <v>7</v>
      </c>
      <c r="E120" s="64"/>
      <c r="F120" s="64" t="s">
        <v>8</v>
      </c>
      <c r="G120" s="65">
        <v>199000</v>
      </c>
      <c r="H120" s="65">
        <v>21.33</v>
      </c>
      <c r="I120" s="65">
        <f>G120*H120</f>
        <v>4244670</v>
      </c>
    </row>
    <row r="121" spans="3:9" x14ac:dyDescent="0.25">
      <c r="C121" s="61" t="s">
        <v>9</v>
      </c>
      <c r="D121" s="66"/>
      <c r="E121" s="67"/>
      <c r="F121" s="67"/>
      <c r="G121" s="68">
        <f>SUM(G119:G120)</f>
        <v>199142</v>
      </c>
      <c r="H121" s="62">
        <f>I121/G121</f>
        <v>189.87503389541132</v>
      </c>
      <c r="I121" s="68">
        <f t="shared" ref="I121" si="34">SUM(I119:I120)</f>
        <v>37812094</v>
      </c>
    </row>
    <row r="122" spans="3:9" ht="60" x14ac:dyDescent="0.25">
      <c r="C122" s="76" t="s">
        <v>10</v>
      </c>
      <c r="D122" s="63" t="s">
        <v>11</v>
      </c>
      <c r="E122" s="64"/>
      <c r="F122" s="64" t="s">
        <v>8</v>
      </c>
      <c r="G122" s="65">
        <v>12960</v>
      </c>
      <c r="H122" s="65">
        <v>287.60000000000002</v>
      </c>
      <c r="I122" s="65">
        <v>3727335.2</v>
      </c>
    </row>
    <row r="123" spans="3:9" ht="72" x14ac:dyDescent="0.25">
      <c r="C123" s="77"/>
      <c r="D123" s="63" t="s">
        <v>12</v>
      </c>
      <c r="E123" s="64"/>
      <c r="F123" s="64" t="s">
        <v>6</v>
      </c>
      <c r="G123" s="65">
        <v>4488</v>
      </c>
      <c r="H123" s="65">
        <v>52.1</v>
      </c>
      <c r="I123" s="65">
        <f t="shared" ref="I123" si="35">G123*H123</f>
        <v>233824.80000000002</v>
      </c>
    </row>
    <row r="124" spans="3:9" x14ac:dyDescent="0.25">
      <c r="C124" s="61" t="s">
        <v>9</v>
      </c>
      <c r="D124" s="66"/>
      <c r="E124" s="67"/>
      <c r="F124" s="67"/>
      <c r="G124" s="68">
        <f>SUM(G122:G123)</f>
        <v>17448</v>
      </c>
      <c r="H124" s="62">
        <f>I124/G124</f>
        <v>227.02659330582301</v>
      </c>
      <c r="I124" s="68">
        <f t="shared" ref="I124" si="36">SUM(I122:I123)</f>
        <v>3961160</v>
      </c>
    </row>
    <row r="125" spans="3:9" ht="84" x14ac:dyDescent="0.25">
      <c r="C125" s="76" t="s">
        <v>13</v>
      </c>
      <c r="D125" s="63" t="s">
        <v>14</v>
      </c>
      <c r="E125" s="64"/>
      <c r="F125" s="64" t="s">
        <v>8</v>
      </c>
      <c r="G125" s="65">
        <v>89690</v>
      </c>
      <c r="H125" s="65">
        <v>76.69</v>
      </c>
      <c r="I125" s="65">
        <v>6878053.5</v>
      </c>
    </row>
    <row r="126" spans="3:9" ht="96" x14ac:dyDescent="0.25">
      <c r="C126" s="78"/>
      <c r="D126" s="63" t="s">
        <v>15</v>
      </c>
      <c r="E126" s="64"/>
      <c r="F126" s="64" t="s">
        <v>6</v>
      </c>
      <c r="G126" s="65"/>
      <c r="H126" s="65"/>
      <c r="I126" s="65">
        <f t="shared" ref="I126:I127" si="37">G126*H126</f>
        <v>0</v>
      </c>
    </row>
    <row r="127" spans="3:9" ht="36" x14ac:dyDescent="0.25">
      <c r="C127" s="77"/>
      <c r="D127" s="63" t="s">
        <v>16</v>
      </c>
      <c r="E127" s="64"/>
      <c r="F127" s="64" t="s">
        <v>6</v>
      </c>
      <c r="G127" s="65">
        <v>22950</v>
      </c>
      <c r="H127" s="65">
        <v>504.89</v>
      </c>
      <c r="I127" s="65">
        <f t="shared" si="37"/>
        <v>11587225.5</v>
      </c>
    </row>
    <row r="128" spans="3:9" x14ac:dyDescent="0.25">
      <c r="C128" s="61" t="s">
        <v>9</v>
      </c>
      <c r="D128" s="66"/>
      <c r="E128" s="67"/>
      <c r="F128" s="67"/>
      <c r="G128" s="68">
        <f>SUM(G125:G127)</f>
        <v>112640</v>
      </c>
      <c r="H128" s="62">
        <f>I128/G128</f>
        <v>163.93180930397727</v>
      </c>
      <c r="I128" s="68">
        <f t="shared" ref="I128" si="38">SUM(I125:I127)</f>
        <v>18465279</v>
      </c>
    </row>
    <row r="129" spans="3:9" ht="72" x14ac:dyDescent="0.25">
      <c r="C129" s="18" t="s">
        <v>17</v>
      </c>
      <c r="D129" s="63" t="s">
        <v>18</v>
      </c>
      <c r="E129" s="64"/>
      <c r="F129" s="64" t="s">
        <v>57</v>
      </c>
      <c r="G129" s="65">
        <v>55</v>
      </c>
      <c r="H129" s="65">
        <v>94602.73</v>
      </c>
      <c r="I129" s="65">
        <v>5203150</v>
      </c>
    </row>
    <row r="130" spans="3:9" x14ac:dyDescent="0.25">
      <c r="C130" s="61" t="s">
        <v>9</v>
      </c>
      <c r="D130" s="66"/>
      <c r="E130" s="69"/>
      <c r="F130" s="69"/>
      <c r="G130" s="68">
        <f>SUM(G129)</f>
        <v>55</v>
      </c>
      <c r="H130" s="62">
        <f>I130/G130</f>
        <v>94602.727272727279</v>
      </c>
      <c r="I130" s="68">
        <f t="shared" ref="I130" si="39">SUM(I129)</f>
        <v>5203150</v>
      </c>
    </row>
    <row r="131" spans="3:9" ht="72" x14ac:dyDescent="0.25">
      <c r="C131" s="18" t="s">
        <v>19</v>
      </c>
      <c r="D131" s="63" t="s">
        <v>18</v>
      </c>
      <c r="E131" s="64"/>
      <c r="F131" s="64" t="s">
        <v>8</v>
      </c>
      <c r="G131" s="65">
        <v>55</v>
      </c>
      <c r="H131" s="65">
        <v>81713.98</v>
      </c>
      <c r="I131" s="65">
        <v>4494269</v>
      </c>
    </row>
    <row r="132" spans="3:9" x14ac:dyDescent="0.25">
      <c r="C132" s="61" t="s">
        <v>9</v>
      </c>
      <c r="D132" s="66"/>
      <c r="E132" s="69"/>
      <c r="F132" s="69"/>
      <c r="G132" s="68">
        <f>SUM(G131)</f>
        <v>55</v>
      </c>
      <c r="H132" s="62">
        <f t="shared" ref="H132:H133" si="40">I132/G132</f>
        <v>81713.981818181812</v>
      </c>
      <c r="I132" s="68">
        <f t="shared" ref="I132" si="41">SUM(I131)</f>
        <v>4494269</v>
      </c>
    </row>
    <row r="133" spans="3:9" x14ac:dyDescent="0.25">
      <c r="C133" s="61" t="s">
        <v>21</v>
      </c>
      <c r="D133" s="70"/>
      <c r="E133" s="70"/>
      <c r="F133" s="70"/>
      <c r="G133" s="68">
        <f>SUM(G134:G137)</f>
        <v>164</v>
      </c>
      <c r="H133" s="62">
        <f t="shared" si="40"/>
        <v>23964.798780487807</v>
      </c>
      <c r="I133" s="68">
        <f t="shared" ref="I133" si="42">SUM(I134:I137)</f>
        <v>3930227.0000000005</v>
      </c>
    </row>
    <row r="134" spans="3:9" ht="72" x14ac:dyDescent="0.25">
      <c r="C134" s="79" t="s">
        <v>27</v>
      </c>
      <c r="D134" s="71" t="s">
        <v>22</v>
      </c>
      <c r="E134" s="72"/>
      <c r="F134" s="72" t="s">
        <v>23</v>
      </c>
      <c r="G134" s="73">
        <v>30</v>
      </c>
      <c r="H134" s="73">
        <v>119174.24</v>
      </c>
      <c r="I134" s="65">
        <f t="shared" ref="I134:I136" si="43">G134*H134</f>
        <v>3575227.2</v>
      </c>
    </row>
    <row r="135" spans="3:9" ht="36" x14ac:dyDescent="0.25">
      <c r="C135" s="80"/>
      <c r="D135" s="71" t="s">
        <v>24</v>
      </c>
      <c r="E135" s="72"/>
      <c r="F135" s="72" t="s">
        <v>23</v>
      </c>
      <c r="G135" s="73">
        <v>110</v>
      </c>
      <c r="H135" s="73">
        <v>2727.27</v>
      </c>
      <c r="I135" s="65">
        <f t="shared" si="43"/>
        <v>299999.7</v>
      </c>
    </row>
    <row r="136" spans="3:9" ht="48" x14ac:dyDescent="0.25">
      <c r="C136" s="80"/>
      <c r="D136" s="71" t="s">
        <v>25</v>
      </c>
      <c r="E136" s="72"/>
      <c r="F136" s="72" t="s">
        <v>23</v>
      </c>
      <c r="G136" s="73">
        <v>12</v>
      </c>
      <c r="H136" s="73">
        <v>1666.67</v>
      </c>
      <c r="I136" s="65">
        <f t="shared" si="43"/>
        <v>20000.04</v>
      </c>
    </row>
    <row r="137" spans="3:9" ht="168" x14ac:dyDescent="0.25">
      <c r="C137" s="80"/>
      <c r="D137" s="71" t="s">
        <v>26</v>
      </c>
      <c r="E137" s="72"/>
      <c r="F137" s="72" t="s">
        <v>23</v>
      </c>
      <c r="G137" s="73">
        <v>12</v>
      </c>
      <c r="H137" s="73">
        <v>2916.67</v>
      </c>
      <c r="I137" s="65">
        <v>35000.06</v>
      </c>
    </row>
    <row r="138" spans="3:9" x14ac:dyDescent="0.25">
      <c r="C138" s="61" t="s">
        <v>9</v>
      </c>
      <c r="D138" s="64"/>
      <c r="E138" s="64"/>
      <c r="F138" s="64"/>
      <c r="G138" s="68">
        <f>SUM(G134:G137)</f>
        <v>164</v>
      </c>
      <c r="H138" s="62">
        <f>I138/G138</f>
        <v>23964.798780487807</v>
      </c>
      <c r="I138" s="68">
        <f t="shared" ref="I138" si="44">SUM(I134:I137)</f>
        <v>3930227.0000000005</v>
      </c>
    </row>
    <row r="139" spans="3:9" x14ac:dyDescent="0.25">
      <c r="C139" s="51" t="s">
        <v>56</v>
      </c>
      <c r="D139" s="9"/>
      <c r="E139" s="9"/>
      <c r="F139" s="9"/>
      <c r="G139" s="74"/>
      <c r="H139" s="74"/>
      <c r="I139" s="74"/>
    </row>
    <row r="140" spans="3:9" ht="90" x14ac:dyDescent="0.25">
      <c r="C140" s="9"/>
      <c r="D140" s="24" t="s">
        <v>59</v>
      </c>
      <c r="E140" s="9"/>
      <c r="F140" s="9" t="s">
        <v>58</v>
      </c>
      <c r="G140" s="75">
        <v>507</v>
      </c>
      <c r="H140" s="74">
        <v>2958.58</v>
      </c>
      <c r="I140" s="74">
        <f>G140*H140</f>
        <v>1500000.06</v>
      </c>
    </row>
  </sheetData>
  <mergeCells count="33">
    <mergeCell ref="C2:I2"/>
    <mergeCell ref="D6:E7"/>
    <mergeCell ref="C6:C7"/>
    <mergeCell ref="C71:C72"/>
    <mergeCell ref="D40:D41"/>
    <mergeCell ref="D20:D21"/>
    <mergeCell ref="D11:D13"/>
    <mergeCell ref="G6:G7"/>
    <mergeCell ref="H6:H7"/>
    <mergeCell ref="F6:F7"/>
    <mergeCell ref="C39:C43"/>
    <mergeCell ref="C26:C31"/>
    <mergeCell ref="C18:C24"/>
    <mergeCell ref="C8:C16"/>
    <mergeCell ref="C33:C37"/>
    <mergeCell ref="I6:I7"/>
    <mergeCell ref="D27:D28"/>
    <mergeCell ref="D18:D19"/>
    <mergeCell ref="D8:D10"/>
    <mergeCell ref="D14:D15"/>
    <mergeCell ref="D33:D35"/>
    <mergeCell ref="C119:C120"/>
    <mergeCell ref="C122:C123"/>
    <mergeCell ref="C125:C127"/>
    <mergeCell ref="C134:C137"/>
    <mergeCell ref="C45:C49"/>
    <mergeCell ref="C93:C94"/>
    <mergeCell ref="C96:C97"/>
    <mergeCell ref="C99:C101"/>
    <mergeCell ref="C108:C111"/>
    <mergeCell ref="C74:C75"/>
    <mergeCell ref="C77:C78"/>
    <mergeCell ref="C85:C88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2025-01-30T12:58:08Z</dcterms:modified>
</cp:coreProperties>
</file>